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sz\Downloads\"/>
    </mc:Choice>
  </mc:AlternateContent>
  <xr:revisionPtr revIDLastSave="0" documentId="13_ncr:1_{8D087ED4-F108-4EEA-9B3C-D8F7BAEFBE8C}" xr6:coauthVersionLast="47" xr6:coauthVersionMax="47" xr10:uidLastSave="{00000000-0000-0000-0000-000000000000}"/>
  <bookViews>
    <workbookView xWindow="-110" yWindow="-110" windowWidth="38620" windowHeight="21220" xr2:uid="{E11A99E0-D8CD-4EE6-9C69-C37C13F39269}"/>
  </bookViews>
  <sheets>
    <sheet name="Leasing" sheetId="3" r:id="rId1"/>
    <sheet name="Pożyczka leasingow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H5" i="3"/>
  <c r="G5" i="3"/>
  <c r="F5" i="3"/>
  <c r="I5" i="2"/>
  <c r="H5" i="2"/>
  <c r="G5" i="2"/>
  <c r="D9" i="3"/>
  <c r="E5" i="3"/>
  <c r="D5" i="3"/>
  <c r="F5" i="2"/>
  <c r="E5" i="2"/>
  <c r="D9" i="2"/>
  <c r="D5" i="2"/>
  <c r="J5" i="3" l="1"/>
  <c r="L5" i="3" s="1"/>
  <c r="O5" i="3" s="1"/>
  <c r="E9" i="3" s="1"/>
  <c r="F9" i="3" s="1"/>
  <c r="J5" i="2"/>
  <c r="J9" i="2" s="1"/>
  <c r="D36" i="2" s="1"/>
  <c r="E36" i="2" s="1"/>
  <c r="F36" i="2" s="1"/>
  <c r="G36" i="2" s="1"/>
  <c r="H36" i="2" s="1"/>
  <c r="I36" i="2" s="1"/>
  <c r="J36" i="2" s="1"/>
  <c r="L34" i="2" s="1"/>
  <c r="O33" i="2" s="1"/>
  <c r="L5" i="2" l="1"/>
  <c r="O5" i="2" s="1"/>
  <c r="J9" i="3"/>
  <c r="D24" i="3" s="1"/>
  <c r="E24" i="3" s="1"/>
  <c r="F24" i="3" s="1"/>
  <c r="G24" i="3" s="1"/>
  <c r="H24" i="3" s="1"/>
  <c r="I24" i="3" s="1"/>
  <c r="J24" i="3" s="1"/>
  <c r="G9" i="3"/>
  <c r="D18" i="2"/>
  <c r="E18" i="2" s="1"/>
  <c r="F18" i="2" s="1"/>
  <c r="G18" i="2" s="1"/>
  <c r="H18" i="2" s="1"/>
  <c r="I18" i="2" s="1"/>
  <c r="J18" i="2" s="1"/>
  <c r="L36" i="2"/>
  <c r="O36" i="2" s="1"/>
  <c r="D24" i="2"/>
  <c r="E24" i="2" s="1"/>
  <c r="F24" i="2" s="1"/>
  <c r="G24" i="2" s="1"/>
  <c r="H24" i="2" s="1"/>
  <c r="I24" i="2" s="1"/>
  <c r="J24" i="2" s="1"/>
  <c r="L22" i="2" s="1"/>
  <c r="O21" i="2" s="1"/>
  <c r="D30" i="2"/>
  <c r="E30" i="2" s="1"/>
  <c r="F30" i="2" s="1"/>
  <c r="G30" i="2" s="1"/>
  <c r="H30" i="2" s="1"/>
  <c r="I30" i="2" s="1"/>
  <c r="J30" i="2" s="1"/>
  <c r="E9" i="2"/>
  <c r="F9" i="2" s="1"/>
  <c r="G9" i="2" s="1"/>
  <c r="H9" i="2" s="1"/>
  <c r="I9" i="2" s="1"/>
  <c r="L18" i="2"/>
  <c r="O18" i="2" s="1"/>
  <c r="L16" i="2"/>
  <c r="O15" i="2" s="1"/>
  <c r="D18" i="3" l="1"/>
  <c r="E18" i="3" s="1"/>
  <c r="F18" i="3" s="1"/>
  <c r="G18" i="3" s="1"/>
  <c r="H18" i="3" s="1"/>
  <c r="I18" i="3" s="1"/>
  <c r="J18" i="3" s="1"/>
  <c r="L16" i="3" s="1"/>
  <c r="O15" i="3" s="1"/>
  <c r="D36" i="3"/>
  <c r="E36" i="3" s="1"/>
  <c r="F36" i="3" s="1"/>
  <c r="G36" i="3" s="1"/>
  <c r="H36" i="3" s="1"/>
  <c r="I36" i="3" s="1"/>
  <c r="J36" i="3" s="1"/>
  <c r="L36" i="3" s="1"/>
  <c r="O36" i="3" s="1"/>
  <c r="D30" i="3"/>
  <c r="E30" i="3" s="1"/>
  <c r="F30" i="3" s="1"/>
  <c r="G30" i="3" s="1"/>
  <c r="H30" i="3" s="1"/>
  <c r="I30" i="3" s="1"/>
  <c r="J30" i="3" s="1"/>
  <c r="L30" i="3" s="1"/>
  <c r="O30" i="3" s="1"/>
  <c r="H9" i="3"/>
  <c r="I9" i="3" s="1"/>
  <c r="L24" i="2"/>
  <c r="O24" i="2" s="1"/>
  <c r="L24" i="3"/>
  <c r="O24" i="3" s="1"/>
  <c r="L22" i="3"/>
  <c r="O21" i="3" s="1"/>
  <c r="L30" i="2"/>
  <c r="O30" i="2" s="1"/>
  <c r="L28" i="2"/>
  <c r="O27" i="2" s="1"/>
  <c r="L34" i="3" l="1"/>
  <c r="O33" i="3" s="1"/>
  <c r="L18" i="3"/>
  <c r="O18" i="3" s="1"/>
  <c r="L28" i="3"/>
  <c r="O2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 Staszewski</author>
  </authors>
  <commentList>
    <comment ref="B3" authorId="0" shapeId="0" xr:uid="{DFB375D4-E4DE-4659-9826-BC4E20697E45}">
      <text>
        <r>
          <rPr>
            <b/>
            <sz val="9"/>
            <color indexed="81"/>
            <rFont val="Tahoma"/>
            <charset val="1"/>
          </rPr>
          <t>Marcin Staszewski:</t>
        </r>
        <r>
          <rPr>
            <sz val="9"/>
            <color indexed="81"/>
            <rFont val="Tahoma"/>
            <charset val="1"/>
          </rPr>
          <t xml:space="preserve">
Zdecyduj, czy operujesz na kwotach netto czy brutto i tego się trzymaj w całym akruszu</t>
        </r>
      </text>
    </comment>
    <comment ref="L5" authorId="0" shapeId="0" xr:uid="{F4F6AB36-F15B-46C3-B07A-F594334222D3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Sumaryczne oprocentowanie pożyczki jako całość (bez podziału na lata)</t>
        </r>
      </text>
    </comment>
    <comment ref="I9" authorId="0" shapeId="0" xr:uid="{9DD8B0E6-3DAF-4F65-A841-C1C73CFDB3DD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 pożyczki z naliczonym co roku stałym oprocentowaniem</t>
        </r>
      </text>
    </comment>
    <comment ref="J9" authorId="0" shapeId="0" xr:uid="{E897C242-DAFF-4DBE-994D-D312364FB725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Całkowity koszt przedsięwzięcia pomniejszony o udział własny</t>
        </r>
      </text>
    </comment>
    <comment ref="B12" authorId="0" shapeId="0" xr:uid="{999EBCFE-3148-49B4-A4B4-547F8FC42C6C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Zgodnie z ofertą / harmonogramem spłat</t>
        </r>
      </text>
    </comment>
    <comment ref="B18" authorId="0" shapeId="0" xr:uid="{28674435-8CBC-456A-A495-D6FB35443202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Np. ubezpieczenie GAP - sprawdź, czy jest już zawarte w wysokości raty</t>
        </r>
      </text>
    </comment>
    <comment ref="D18" authorId="0" shapeId="0" xr:uid="{090E0268-671D-43A4-A120-FE231B30E351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 pomniejszona o prowizję zapłaconą od razu</t>
        </r>
      </text>
    </comment>
    <comment ref="I18" authorId="0" shapeId="0" xr:uid="{65D4FDBF-5290-42CB-B88F-6D4BCE7AA058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Kwota, której po zakończeniu okresu pożyczki "nie oddajemy" z powodu utraty siły nabywczej pieniądza</t>
        </r>
      </text>
    </comment>
    <comment ref="J18" authorId="0" shapeId="0" xr:uid="{EF0355F5-FD0B-4346-B9D4-ECB32B7899B1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Suma, którą finalnie zwracamy pożyczkodawcy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Marcin Staszewski</author>
  </authors>
  <commentList>
    <comment ref="L5" authorId="0" shapeId="0" xr:uid="{5598EEFB-D538-4F1F-BE5F-93569E5635C1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Sumaryczne oprocentowanie pożyczki jako całość (bez podziału na lata)</t>
        </r>
      </text>
    </comment>
    <comment ref="I9" authorId="0" shapeId="0" xr:uid="{83A519A9-DB5B-4D8C-893E-3D3B9C64E2A3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 pożyczki z naliczonym co roku stałym oprocentowaniem</t>
        </r>
      </text>
    </comment>
    <comment ref="J9" authorId="0" shapeId="0" xr:uid="{8C7616F3-9942-4170-B172-0945FAAC1D93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Całkowity koszt przedsięwzięcia pomniejszony o udział własny</t>
        </r>
      </text>
    </comment>
    <comment ref="B12" authorId="0" shapeId="0" xr:uid="{74A5577C-6EB7-40C4-AD2F-381360A6CC92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Zgodnie z ofertą / harmonogramem spłat</t>
        </r>
      </text>
    </comment>
    <comment ref="B15" authorId="0" shapeId="0" xr:uid="{A6FFB55B-F544-4D9E-A4CE-0464A5BA4954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Np. ubezpieczenie GAP - sprawdź, czy jest już zawarte w wysokości raty</t>
        </r>
      </text>
    </comment>
    <comment ref="D18" authorId="0" shapeId="0" xr:uid="{21387583-0C22-4E5E-9A49-92A97E941272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 pomniejszona o prowizję zapłaconą od razu</t>
        </r>
      </text>
    </comment>
    <comment ref="I18" authorId="0" shapeId="0" xr:uid="{FCF2CDF7-9A1F-4220-9798-0D42AA5E8623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Kwota, której po zakończeniu okresu pożyczki "nie oddajemy" z powodu utraty siły nabywczej pieniądza</t>
        </r>
      </text>
    </comment>
    <comment ref="J18" authorId="0" shapeId="0" xr:uid="{AF402BE9-6ED4-4CA1-9314-93F1487A54E8}">
      <text>
        <r>
          <rPr>
            <b/>
            <sz val="9"/>
            <color indexed="81"/>
            <rFont val="Tahoma"/>
            <family val="2"/>
            <charset val="238"/>
          </rPr>
          <t>Marcin Staszewski:</t>
        </r>
        <r>
          <rPr>
            <sz val="9"/>
            <color indexed="81"/>
            <rFont val="Tahoma"/>
            <family val="2"/>
            <charset val="238"/>
          </rPr>
          <t xml:space="preserve">
Suma, którą finalnie zwracamy pożyczkodawcy</t>
        </r>
      </text>
    </comment>
  </commentList>
</comments>
</file>

<file path=xl/sharedStrings.xml><?xml version="1.0" encoding="utf-8"?>
<sst xmlns="http://schemas.openxmlformats.org/spreadsheetml/2006/main" count="173" uniqueCount="40">
  <si>
    <t>Wpłata własna</t>
  </si>
  <si>
    <t>Prowizja</t>
  </si>
  <si>
    <t>Wysokość raty</t>
  </si>
  <si>
    <t>Cena samochodu</t>
  </si>
  <si>
    <t>Udział własny</t>
  </si>
  <si>
    <t>Rok 1</t>
  </si>
  <si>
    <t>Opłata wstępna</t>
  </si>
  <si>
    <t>Suma rat</t>
  </si>
  <si>
    <t>Rok 2</t>
  </si>
  <si>
    <t>Rok 3</t>
  </si>
  <si>
    <t>Rok 4</t>
  </si>
  <si>
    <t>Rok 5</t>
  </si>
  <si>
    <t>Suma całkowita</t>
  </si>
  <si>
    <t>Stosunek sumy do kwoty pożyczki (bez udziału własnego)</t>
  </si>
  <si>
    <t>Okres pożyczki (lata)</t>
  </si>
  <si>
    <t>Oprocentowanie od pełnej kwoty pożyczki co rok</t>
  </si>
  <si>
    <t>Kwota do oddania (sprawdzenie kalkulacji)</t>
  </si>
  <si>
    <t>Na początku</t>
  </si>
  <si>
    <t>Po 1. roku</t>
  </si>
  <si>
    <t>Po 2 latach</t>
  </si>
  <si>
    <t>Po 3 latach</t>
  </si>
  <si>
    <t>Po 4 latach</t>
  </si>
  <si>
    <t>Po 5 latach</t>
  </si>
  <si>
    <t>Te kwoty powinny być takie same</t>
  </si>
  <si>
    <r>
      <t>Wskaźnik inflacji w danym roku (</t>
    </r>
    <r>
      <rPr>
        <b/>
        <sz val="11"/>
        <color theme="1"/>
        <rFont val="Calibri"/>
        <family val="2"/>
        <charset val="238"/>
        <scheme val="minor"/>
      </rPr>
      <t>wariant uśredniony</t>
    </r>
    <r>
      <rPr>
        <sz val="11"/>
        <color theme="1"/>
        <rFont val="Calibri"/>
        <family val="2"/>
        <charset val="238"/>
        <scheme val="minor"/>
      </rPr>
      <t xml:space="preserve"> = inflacja na podobnych poziomach)</t>
    </r>
  </si>
  <si>
    <r>
      <t>Wskaźnik inflacji w danym roku (</t>
    </r>
    <r>
      <rPr>
        <b/>
        <sz val="11"/>
        <color theme="1"/>
        <rFont val="Calibri"/>
        <family val="2"/>
        <charset val="238"/>
        <scheme val="minor"/>
      </rPr>
      <t>wariant pesymistyczny</t>
    </r>
    <r>
      <rPr>
        <sz val="11"/>
        <color theme="1"/>
        <rFont val="Calibri"/>
        <family val="2"/>
        <charset val="238"/>
        <scheme val="minor"/>
      </rPr>
      <t xml:space="preserve"> = inflacja malejąca)</t>
    </r>
  </si>
  <si>
    <r>
      <t>Wskaźnik inflacji w danym roku (</t>
    </r>
    <r>
      <rPr>
        <b/>
        <sz val="11"/>
        <color theme="1"/>
        <rFont val="Calibri"/>
        <family val="2"/>
        <charset val="238"/>
        <scheme val="minor"/>
      </rPr>
      <t>wariant optymistyczny</t>
    </r>
    <r>
      <rPr>
        <sz val="11"/>
        <color theme="1"/>
        <rFont val="Calibri"/>
        <family val="2"/>
        <charset val="238"/>
        <scheme val="minor"/>
      </rPr>
      <t xml:space="preserve"> = inflacja rosnąca)</t>
    </r>
  </si>
  <si>
    <r>
      <t>Wskaźnik inflacji w danym roku (</t>
    </r>
    <r>
      <rPr>
        <b/>
        <sz val="11"/>
        <color theme="1"/>
        <rFont val="Calibri"/>
        <family val="2"/>
        <charset val="238"/>
        <scheme val="minor"/>
      </rPr>
      <t>wariant realistyczny</t>
    </r>
    <r>
      <rPr>
        <sz val="11"/>
        <color theme="1"/>
        <rFont val="Calibri"/>
        <family val="2"/>
        <charset val="238"/>
        <scheme val="minor"/>
      </rPr>
      <t xml:space="preserve"> = inflacja chwilę rosnąca i spadek)</t>
    </r>
  </si>
  <si>
    <t>Pozostało do spłaty</t>
  </si>
  <si>
    <t>Kwota do oddania - Warianty zmian inflacji w kolejnych latach</t>
  </si>
  <si>
    <t>INFLACJA -&gt;</t>
  </si>
  <si>
    <t>Pożyczka spłacona w kwocie:</t>
  </si>
  <si>
    <t>Realnie spłacono łącznie:</t>
  </si>
  <si>
    <t>Oprocent. całości:</t>
  </si>
  <si>
    <t>Oprocent. co rok</t>
  </si>
  <si>
    <t>Zysk (+)/Strata (-)</t>
  </si>
  <si>
    <t>Suma całkowita bez udz. własnego</t>
  </si>
  <si>
    <t>Dodatkowe opłaty</t>
  </si>
  <si>
    <t>Okres umowy (lata)</t>
  </si>
  <si>
    <t>Wartość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</si>
</sst>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44" fontId="0" fillId="0" borderId="0" xfId="1" applyFont="1"/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0" fillId="3" borderId="0" xfId="0" applyFill="1"/>
    <xf numFmtId="44" fontId="2" fillId="9" borderId="4" xfId="0" applyNumberFormat="1" applyFont="1" applyFill="1" applyBorder="1"/>
    <xf numFmtId="44" fontId="0" fillId="12" borderId="6" xfId="0" applyNumberFormat="1" applyFill="1" applyBorder="1"/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44" fontId="0" fillId="9" borderId="11" xfId="0" applyNumberFormat="1" applyFill="1" applyBorder="1"/>
    <xf numFmtId="44" fontId="0" fillId="9" borderId="12" xfId="0" applyNumberFormat="1" applyFill="1" applyBorder="1"/>
    <xf numFmtId="44" fontId="0" fillId="9" borderId="13" xfId="0" applyNumberFormat="1" applyFill="1" applyBorder="1"/>
    <xf numFmtId="0" fontId="0" fillId="11" borderId="1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44" fontId="0" fillId="12" borderId="11" xfId="0" applyNumberFormat="1" applyFill="1" applyBorder="1"/>
    <xf numFmtId="44" fontId="0" fillId="12" borderId="12" xfId="0" applyNumberFormat="1" applyFill="1" applyBorder="1"/>
    <xf numFmtId="10" fontId="0" fillId="9" borderId="4" xfId="2" applyNumberFormat="1" applyFont="1" applyFill="1" applyBorder="1" applyAlignment="1">
      <alignment horizontal="center"/>
    </xf>
    <xf numFmtId="44" fontId="0" fillId="12" borderId="5" xfId="0" applyNumberFormat="1" applyFill="1" applyBorder="1"/>
    <xf numFmtId="0" fontId="0" fillId="16" borderId="8" xfId="0" applyFill="1" applyBorder="1"/>
    <xf numFmtId="9" fontId="0" fillId="0" borderId="0" xfId="2" applyFont="1" applyBorder="1" applyAlignment="1">
      <alignment horizontal="center"/>
    </xf>
    <xf numFmtId="0" fontId="0" fillId="16" borderId="0" xfId="0" applyFill="1" applyBorder="1"/>
    <xf numFmtId="0" fontId="0" fillId="2" borderId="0" xfId="0" applyFill="1" applyBorder="1"/>
    <xf numFmtId="0" fontId="0" fillId="17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44" fontId="0" fillId="18" borderId="12" xfId="0" applyNumberFormat="1" applyFill="1" applyBorder="1"/>
    <xf numFmtId="0" fontId="0" fillId="19" borderId="8" xfId="0" applyFill="1" applyBorder="1"/>
    <xf numFmtId="0" fontId="0" fillId="19" borderId="0" xfId="0" applyFill="1" applyBorder="1"/>
    <xf numFmtId="0" fontId="0" fillId="19" borderId="12" xfId="0" applyFill="1" applyBorder="1"/>
    <xf numFmtId="0" fontId="0" fillId="4" borderId="8" xfId="0" applyFill="1" applyBorder="1"/>
    <xf numFmtId="0" fontId="0" fillId="4" borderId="0" xfId="0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4" fontId="0" fillId="6" borderId="12" xfId="0" applyNumberFormat="1" applyFill="1" applyBorder="1"/>
    <xf numFmtId="0" fontId="0" fillId="15" borderId="20" xfId="0" applyFill="1" applyBorder="1" applyAlignment="1">
      <alignment horizontal="center" vertical="center" wrapText="1"/>
    </xf>
    <xf numFmtId="0" fontId="0" fillId="2" borderId="21" xfId="0" applyFill="1" applyBorder="1"/>
    <xf numFmtId="0" fontId="0" fillId="17" borderId="20" xfId="0" applyFill="1" applyBorder="1" applyAlignment="1">
      <alignment horizontal="center"/>
    </xf>
    <xf numFmtId="0" fontId="0" fillId="17" borderId="21" xfId="0" applyFill="1" applyBorder="1"/>
    <xf numFmtId="44" fontId="0" fillId="18" borderId="22" xfId="0" applyNumberFormat="1" applyFill="1" applyBorder="1"/>
    <xf numFmtId="10" fontId="0" fillId="18" borderId="23" xfId="2" applyNumberFormat="1" applyFont="1" applyFill="1" applyBorder="1"/>
    <xf numFmtId="0" fontId="0" fillId="2" borderId="20" xfId="0" applyFill="1" applyBorder="1"/>
    <xf numFmtId="0" fontId="0" fillId="5" borderId="20" xfId="0" applyFill="1" applyBorder="1" applyAlignment="1">
      <alignment horizontal="center"/>
    </xf>
    <xf numFmtId="0" fontId="0" fillId="5" borderId="21" xfId="0" applyFill="1" applyBorder="1"/>
    <xf numFmtId="44" fontId="0" fillId="6" borderId="22" xfId="0" applyNumberFormat="1" applyFill="1" applyBorder="1"/>
    <xf numFmtId="10" fontId="0" fillId="6" borderId="23" xfId="2" applyNumberFormat="1" applyFont="1" applyFill="1" applyBorder="1"/>
    <xf numFmtId="44" fontId="0" fillId="6" borderId="24" xfId="0" applyNumberFormat="1" applyFill="1" applyBorder="1"/>
    <xf numFmtId="44" fontId="0" fillId="6" borderId="25" xfId="0" applyNumberFormat="1" applyFill="1" applyBorder="1"/>
    <xf numFmtId="10" fontId="0" fillId="6" borderId="26" xfId="2" applyNumberFormat="1" applyFont="1" applyFill="1" applyBorder="1"/>
    <xf numFmtId="0" fontId="0" fillId="19" borderId="21" xfId="0" applyFill="1" applyBorder="1"/>
    <xf numFmtId="0" fontId="0" fillId="19" borderId="25" xfId="0" applyFill="1" applyBorder="1"/>
    <xf numFmtId="0" fontId="2" fillId="3" borderId="14" xfId="0" applyFont="1" applyFill="1" applyBorder="1" applyAlignment="1">
      <alignment horizontal="center" vertical="center"/>
    </xf>
    <xf numFmtId="44" fontId="2" fillId="20" borderId="15" xfId="0" applyNumberFormat="1" applyFont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4" borderId="8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0" fontId="0" fillId="9" borderId="11" xfId="2" applyNumberFormat="1" applyFont="1" applyFill="1" applyBorder="1" applyAlignment="1">
      <alignment horizontal="center"/>
    </xf>
    <xf numFmtId="10" fontId="0" fillId="9" borderId="13" xfId="2" applyNumberFormat="1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1" borderId="2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0" fontId="3" fillId="11" borderId="0" xfId="0" applyFont="1" applyFill="1" applyAlignment="1">
      <alignment horizontal="center" vertical="center"/>
    </xf>
    <xf numFmtId="0" fontId="6" fillId="13" borderId="16" xfId="0" applyFont="1" applyFill="1" applyBorder="1" applyAlignment="1">
      <alignment horizontal="center"/>
    </xf>
    <xf numFmtId="0" fontId="6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0" fillId="16" borderId="8" xfId="0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44" fontId="0" fillId="18" borderId="0" xfId="1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10" fontId="0" fillId="18" borderId="12" xfId="2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44" fontId="0" fillId="6" borderId="0" xfId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6" borderId="12" xfId="2" applyNumberFormat="1" applyFont="1" applyFill="1" applyBorder="1" applyAlignment="1">
      <alignment horizontal="center"/>
    </xf>
    <xf numFmtId="10" fontId="0" fillId="6" borderId="25" xfId="2" applyNumberFormat="1" applyFont="1" applyFill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7274-2468-4CA6-892E-E2FEF0243CF0}">
  <dimension ref="A1:AO61"/>
  <sheetViews>
    <sheetView tabSelected="1" workbookViewId="0">
      <selection activeCell="G43" sqref="G43"/>
    </sheetView>
  </sheetViews>
  <sheetFormatPr defaultRowHeight="14.5" x14ac:dyDescent="0.35"/>
  <cols>
    <col min="1" max="1" width="3.1796875" customWidth="1"/>
    <col min="2" max="2" width="17.81640625" customWidth="1"/>
    <col min="3" max="3" width="3.1796875" customWidth="1"/>
    <col min="4" max="9" width="12.7265625" bestFit="1" customWidth="1"/>
    <col min="10" max="10" width="15.90625" customWidth="1"/>
    <col min="11" max="11" width="3.1796875" customWidth="1"/>
    <col min="12" max="12" width="8.6328125" customWidth="1"/>
    <col min="14" max="14" width="3.1796875" customWidth="1"/>
    <col min="15" max="15" width="15.26953125" customWidth="1"/>
    <col min="16" max="16" width="3.1796875" customWidth="1"/>
  </cols>
  <sheetData>
    <row r="1" spans="1:4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35">
      <c r="A2" s="2"/>
      <c r="B2" s="4" t="s">
        <v>3</v>
      </c>
      <c r="C2" s="2"/>
      <c r="D2" s="52" t="s">
        <v>5</v>
      </c>
      <c r="E2" s="53"/>
      <c r="F2" s="7" t="s">
        <v>8</v>
      </c>
      <c r="G2" s="7" t="s">
        <v>9</v>
      </c>
      <c r="H2" s="7" t="s">
        <v>10</v>
      </c>
      <c r="I2" s="8" t="s">
        <v>11</v>
      </c>
      <c r="J2" s="54" t="s">
        <v>12</v>
      </c>
      <c r="K2" s="2"/>
      <c r="L2" s="56" t="s">
        <v>13</v>
      </c>
      <c r="M2" s="57"/>
      <c r="N2" s="2"/>
      <c r="O2" s="60" t="s">
        <v>15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35">
      <c r="A3" s="2"/>
      <c r="B3" s="1">
        <v>108943.09</v>
      </c>
      <c r="C3" s="2"/>
      <c r="D3" s="62" t="s">
        <v>6</v>
      </c>
      <c r="E3" s="63" t="s">
        <v>7</v>
      </c>
      <c r="F3" s="63" t="s">
        <v>7</v>
      </c>
      <c r="G3" s="63" t="s">
        <v>7</v>
      </c>
      <c r="H3" s="63" t="s">
        <v>7</v>
      </c>
      <c r="I3" s="64" t="s">
        <v>7</v>
      </c>
      <c r="J3" s="55"/>
      <c r="K3" s="2"/>
      <c r="L3" s="58"/>
      <c r="M3" s="59"/>
      <c r="N3" s="2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35">
      <c r="A4" s="2"/>
      <c r="B4" s="2"/>
      <c r="C4" s="2"/>
      <c r="D4" s="62"/>
      <c r="E4" s="63"/>
      <c r="F4" s="63"/>
      <c r="G4" s="63"/>
      <c r="H4" s="63"/>
      <c r="I4" s="64"/>
      <c r="J4" s="55"/>
      <c r="K4" s="2"/>
      <c r="L4" s="58"/>
      <c r="M4" s="59"/>
      <c r="N4" s="2"/>
      <c r="O4" s="6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35">
      <c r="A5" s="2"/>
      <c r="B5" s="4" t="s">
        <v>0</v>
      </c>
      <c r="C5" s="2"/>
      <c r="D5" s="9">
        <f>B6+B9</f>
        <v>10894.3</v>
      </c>
      <c r="E5" s="10">
        <f>11*(B12+B18)</f>
        <v>12077.230000000001</v>
      </c>
      <c r="F5" s="10">
        <f>IF(AND(2&gt;=B21,B21&gt;1),12*(B12+B18)+B15,12*(B12+B18))</f>
        <v>13175.16</v>
      </c>
      <c r="G5" s="10">
        <f>IF(B21&gt;2,IF(AND(3&gt;=B21,B21&gt;2),12*(B12+B18)+B15,12*(B12+B18)),0)</f>
        <v>13175.16</v>
      </c>
      <c r="H5" s="10">
        <f>IF(B21&gt;3,IF(AND(4&gt;=B21,B21&gt;3),12*(B12+B18)+B15,12*(B12+B18)),0)</f>
        <v>78410.28</v>
      </c>
      <c r="I5" s="11">
        <f>IF(B21&gt;4,12*(B12+B18)+B15,0)</f>
        <v>0</v>
      </c>
      <c r="J5" s="5">
        <f>SUM(D5:I5)</f>
        <v>127732.13</v>
      </c>
      <c r="K5" s="2"/>
      <c r="L5" s="69">
        <f>(J5-B6)/(B3-B6)</f>
        <v>1.1916294938468901</v>
      </c>
      <c r="M5" s="70"/>
      <c r="N5" s="2"/>
      <c r="O5" s="17">
        <f>(L5-1)/B21</f>
        <v>4.7907373461722524E-2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35">
      <c r="A6" s="2"/>
      <c r="B6" s="1">
        <v>10894.3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35">
      <c r="A7" s="2"/>
      <c r="B7" s="2"/>
      <c r="C7" s="2"/>
      <c r="D7" s="71" t="s">
        <v>16</v>
      </c>
      <c r="E7" s="72"/>
      <c r="F7" s="72"/>
      <c r="G7" s="72"/>
      <c r="H7" s="72"/>
      <c r="I7" s="73"/>
      <c r="J7" s="74" t="s">
        <v>36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x14ac:dyDescent="0.35">
      <c r="A8" s="2"/>
      <c r="B8" s="4" t="s">
        <v>1</v>
      </c>
      <c r="C8" s="2"/>
      <c r="D8" s="12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4" t="s">
        <v>22</v>
      </c>
      <c r="J8" s="7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thickBot="1" x14ac:dyDescent="0.4">
      <c r="A9" s="2"/>
      <c r="B9" s="1">
        <v>0</v>
      </c>
      <c r="C9" s="2"/>
      <c r="D9" s="15">
        <f>B3-B6</f>
        <v>98048.79</v>
      </c>
      <c r="E9" s="16">
        <f>D9+D9*O5</f>
        <v>102746.05</v>
      </c>
      <c r="F9" s="16">
        <f>E9+$D$9*$O$5</f>
        <v>107443.31000000001</v>
      </c>
      <c r="G9" s="16">
        <f>IF(B21&gt;2,F9+$D$9*$O$5,F9)</f>
        <v>112140.57000000002</v>
      </c>
      <c r="H9" s="16">
        <f>IF(B21&gt;3,G9+$D$9*$O$5,G9)</f>
        <v>116837.83000000003</v>
      </c>
      <c r="I9" s="18">
        <f>IF(B21&gt;4,H9+$D$9*$O$5,H9)</f>
        <v>116837.83000000003</v>
      </c>
      <c r="J9" s="6">
        <f>J5-B6</f>
        <v>116837.83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thickTop="1" x14ac:dyDescent="0.35">
      <c r="A10" s="2"/>
      <c r="B10" s="2"/>
      <c r="C10" s="2"/>
      <c r="D10" s="2"/>
      <c r="E10" s="2"/>
      <c r="F10" s="2"/>
      <c r="G10" s="2"/>
      <c r="H10" s="2"/>
      <c r="I10" s="76" t="s">
        <v>23</v>
      </c>
      <c r="J10" s="7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35">
      <c r="A11" s="2"/>
      <c r="B11" s="4" t="s">
        <v>2</v>
      </c>
      <c r="C11" s="2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" thickBot="1" x14ac:dyDescent="0.4">
      <c r="A12" s="2"/>
      <c r="B12" s="1">
        <v>1097.93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" thickBot="1" x14ac:dyDescent="0.4">
      <c r="A13" s="2"/>
      <c r="B13" s="2"/>
      <c r="C13" s="2"/>
      <c r="D13" s="77" t="s">
        <v>29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x14ac:dyDescent="0.35">
      <c r="A14" s="2"/>
      <c r="B14" s="4" t="s">
        <v>39</v>
      </c>
      <c r="C14" s="2"/>
      <c r="D14" s="65" t="s">
        <v>25</v>
      </c>
      <c r="E14" s="66"/>
      <c r="F14" s="66"/>
      <c r="G14" s="66"/>
      <c r="H14" s="66"/>
      <c r="I14" s="66"/>
      <c r="J14" s="19"/>
      <c r="K14" s="26"/>
      <c r="L14" s="80" t="s">
        <v>32</v>
      </c>
      <c r="M14" s="80"/>
      <c r="N14" s="26"/>
      <c r="O14" s="50" t="s">
        <v>35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4.5" customHeight="1" thickBot="1" x14ac:dyDescent="0.4">
      <c r="A15" s="2"/>
      <c r="B15" s="1">
        <v>65235.12</v>
      </c>
      <c r="C15" s="2"/>
      <c r="D15" s="34" t="s">
        <v>30</v>
      </c>
      <c r="E15" s="20">
        <v>0.06</v>
      </c>
      <c r="F15" s="20">
        <v>0.04</v>
      </c>
      <c r="G15" s="20">
        <v>0.03</v>
      </c>
      <c r="H15" s="20">
        <v>0.02</v>
      </c>
      <c r="I15" s="20">
        <v>0.02</v>
      </c>
      <c r="J15" s="21"/>
      <c r="K15" s="27"/>
      <c r="L15" s="81"/>
      <c r="M15" s="81"/>
      <c r="N15" s="27"/>
      <c r="O15" s="51">
        <f>B$3-L16</f>
        <v>-5462.3723463616043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4.5" customHeight="1" x14ac:dyDescent="0.35">
      <c r="A16" s="2"/>
      <c r="B16" s="2"/>
      <c r="C16" s="2"/>
      <c r="D16" s="82" t="s">
        <v>28</v>
      </c>
      <c r="E16" s="83"/>
      <c r="F16" s="83"/>
      <c r="G16" s="83"/>
      <c r="H16" s="83"/>
      <c r="I16" s="83"/>
      <c r="J16" s="81" t="s">
        <v>31</v>
      </c>
      <c r="K16" s="27"/>
      <c r="L16" s="84">
        <f>J18+B6</f>
        <v>114405.4623463616</v>
      </c>
      <c r="M16" s="84"/>
      <c r="N16" s="27"/>
      <c r="O16" s="4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x14ac:dyDescent="0.35">
      <c r="A17" s="2"/>
      <c r="B17" s="4" t="s">
        <v>37</v>
      </c>
      <c r="C17" s="2"/>
      <c r="D17" s="36" t="s">
        <v>17</v>
      </c>
      <c r="E17" s="24" t="s">
        <v>18</v>
      </c>
      <c r="F17" s="24" t="s">
        <v>19</v>
      </c>
      <c r="G17" s="24" t="s">
        <v>20</v>
      </c>
      <c r="H17" s="24" t="s">
        <v>21</v>
      </c>
      <c r="I17" s="24" t="s">
        <v>22</v>
      </c>
      <c r="J17" s="81"/>
      <c r="K17" s="27"/>
      <c r="L17" s="85" t="s">
        <v>33</v>
      </c>
      <c r="M17" s="85"/>
      <c r="N17" s="27"/>
      <c r="O17" s="37" t="s"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35">
      <c r="A18" s="2"/>
      <c r="B18" s="1">
        <v>0</v>
      </c>
      <c r="C18" s="2"/>
      <c r="D18" s="38">
        <f>J9-B9</f>
        <v>116837.83</v>
      </c>
      <c r="E18" s="25">
        <f>D18-(E5*(1-(E15/2)))</f>
        <v>105122.9169</v>
      </c>
      <c r="F18" s="25">
        <f>E18-(F5*(1-(E15))*(1-(F15/2)))</f>
        <v>92985.959508</v>
      </c>
      <c r="G18" s="25">
        <f>F18-(G5*(1-E15)*(1-(F15))*(1-(G15/2)))</f>
        <v>81275.034089759996</v>
      </c>
      <c r="H18" s="25">
        <f>G18-(H5*(1-E15)*(1-F15)*(1-(G15))*(1-(H15/2)))</f>
        <v>13326.667653638404</v>
      </c>
      <c r="I18" s="25">
        <f>H18-(I5*(1-E15)*(1-F15)*(1-G15)*(1-(H15))*(1-(I15/2)))</f>
        <v>13326.667653638404</v>
      </c>
      <c r="J18" s="25">
        <f>J9-I18</f>
        <v>103511.1623463616</v>
      </c>
      <c r="K18" s="28"/>
      <c r="L18" s="86">
        <f>J18/(B3-B6)-1</f>
        <v>5.5710757331748795E-2</v>
      </c>
      <c r="M18" s="86"/>
      <c r="N18" s="28"/>
      <c r="O18" s="39">
        <f>L18/B21</f>
        <v>1.3927689332937199E-2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 thickBot="1" x14ac:dyDescent="0.4">
      <c r="A19" s="2"/>
      <c r="B19" s="2"/>
      <c r="C19" s="2"/>
      <c r="D19" s="4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35">
      <c r="A20" s="2"/>
      <c r="B20" s="4" t="s">
        <v>38</v>
      </c>
      <c r="C20" s="2"/>
      <c r="D20" s="65" t="s">
        <v>24</v>
      </c>
      <c r="E20" s="66"/>
      <c r="F20" s="66"/>
      <c r="G20" s="66"/>
      <c r="H20" s="66"/>
      <c r="I20" s="66"/>
      <c r="J20" s="29"/>
      <c r="K20" s="26"/>
      <c r="L20" s="67" t="s">
        <v>32</v>
      </c>
      <c r="M20" s="67"/>
      <c r="N20" s="26"/>
      <c r="O20" s="50" t="s">
        <v>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thickBot="1" x14ac:dyDescent="0.4">
      <c r="A21" s="2"/>
      <c r="B21">
        <v>4</v>
      </c>
      <c r="C21" s="2"/>
      <c r="D21" s="34" t="s">
        <v>30</v>
      </c>
      <c r="E21" s="20">
        <v>7.0000000000000007E-2</v>
      </c>
      <c r="F21" s="20">
        <v>0.06</v>
      </c>
      <c r="G21" s="20">
        <v>0.06</v>
      </c>
      <c r="H21" s="20">
        <v>0.05</v>
      </c>
      <c r="I21" s="20">
        <v>0.05</v>
      </c>
      <c r="J21" s="30"/>
      <c r="K21" s="27"/>
      <c r="L21" s="68"/>
      <c r="M21" s="68"/>
      <c r="N21" s="27"/>
      <c r="O21" s="51">
        <f>B$3-L22</f>
        <v>514.10458795601153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x14ac:dyDescent="0.35">
      <c r="A22" s="2"/>
      <c r="B22" s="2"/>
      <c r="C22" s="2"/>
      <c r="D22" s="87" t="s">
        <v>28</v>
      </c>
      <c r="E22" s="88"/>
      <c r="F22" s="88"/>
      <c r="G22" s="88"/>
      <c r="H22" s="88"/>
      <c r="I22" s="88"/>
      <c r="J22" s="68" t="s">
        <v>31</v>
      </c>
      <c r="K22" s="27"/>
      <c r="L22" s="89">
        <f>J24+B$6</f>
        <v>108428.98541204398</v>
      </c>
      <c r="M22" s="89"/>
      <c r="N22" s="27"/>
      <c r="O22" s="4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35">
      <c r="A23" s="2"/>
      <c r="B23" s="2"/>
      <c r="C23" s="2"/>
      <c r="D23" s="41" t="s">
        <v>17</v>
      </c>
      <c r="E23" s="32" t="s">
        <v>18</v>
      </c>
      <c r="F23" s="32" t="s">
        <v>19</v>
      </c>
      <c r="G23" s="32" t="s">
        <v>20</v>
      </c>
      <c r="H23" s="32" t="s">
        <v>21</v>
      </c>
      <c r="I23" s="32" t="s">
        <v>22</v>
      </c>
      <c r="J23" s="68"/>
      <c r="K23" s="27"/>
      <c r="L23" s="90" t="s">
        <v>33</v>
      </c>
      <c r="M23" s="90"/>
      <c r="N23" s="27"/>
      <c r="O23" s="42" t="s">
        <v>34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x14ac:dyDescent="0.35">
      <c r="A24" s="2"/>
      <c r="B24" s="2"/>
      <c r="C24" s="2"/>
      <c r="D24" s="43">
        <f>J$9-B$9</f>
        <v>116837.83</v>
      </c>
      <c r="E24" s="33">
        <f>D24-(E$5*(1-(E21/2)))</f>
        <v>105183.30305</v>
      </c>
      <c r="F24" s="33">
        <f>E24-(F$5*(1-(E21))*(1-(F21/2)))</f>
        <v>93297.991214000009</v>
      </c>
      <c r="G24" s="33">
        <f>F24-(G$5*(1-E21)*(1-(F21))*(1-(G21/2)))</f>
        <v>82125.798088160009</v>
      </c>
      <c r="H24" s="33">
        <f>G24-(H$5*(1-E21)*(1-F21)*(1-(G21))*(1-(H21/2)))</f>
        <v>19303.14458795602</v>
      </c>
      <c r="I24" s="33">
        <f>H24-(I$5*(1-E21)*(1-F21)*(1-G21)*(1-(H21))*(1-(I21/2)))</f>
        <v>19303.14458795602</v>
      </c>
      <c r="J24" s="33">
        <f>J$9-I24</f>
        <v>97534.685412043982</v>
      </c>
      <c r="K24" s="28"/>
      <c r="L24" s="91">
        <f>J24/(B$3-B$6)-1</f>
        <v>-5.2433547416139703E-3</v>
      </c>
      <c r="M24" s="91"/>
      <c r="N24" s="28"/>
      <c r="O24" s="44">
        <f>L24/B$21</f>
        <v>-1.3108386854034926E-3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 thickBot="1" x14ac:dyDescent="0.4">
      <c r="A25" s="2"/>
      <c r="B25" s="2"/>
      <c r="C25" s="2"/>
      <c r="D25" s="4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4.5" customHeight="1" x14ac:dyDescent="0.35">
      <c r="A26" s="2"/>
      <c r="B26" s="2"/>
      <c r="C26" s="2"/>
      <c r="D26" s="65" t="s">
        <v>26</v>
      </c>
      <c r="E26" s="66"/>
      <c r="F26" s="66"/>
      <c r="G26" s="66"/>
      <c r="H26" s="66"/>
      <c r="I26" s="66"/>
      <c r="J26" s="19"/>
      <c r="K26" s="26"/>
      <c r="L26" s="80" t="s">
        <v>32</v>
      </c>
      <c r="M26" s="80"/>
      <c r="N26" s="26"/>
      <c r="O26" s="50" t="s">
        <v>35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 thickBot="1" x14ac:dyDescent="0.4">
      <c r="A27" s="2"/>
      <c r="B27" s="2"/>
      <c r="C27" s="2"/>
      <c r="D27" s="34" t="s">
        <v>30</v>
      </c>
      <c r="E27" s="20">
        <v>0.08</v>
      </c>
      <c r="F27" s="20">
        <v>0.09</v>
      </c>
      <c r="G27" s="20">
        <v>0.1</v>
      </c>
      <c r="H27" s="20">
        <v>0.08</v>
      </c>
      <c r="I27" s="20">
        <v>0.06</v>
      </c>
      <c r="J27" s="21"/>
      <c r="K27" s="27"/>
      <c r="L27" s="81"/>
      <c r="M27" s="81"/>
      <c r="N27" s="27"/>
      <c r="O27" s="51">
        <f>B$3-L28</f>
        <v>7682.8672061759862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4.5" customHeight="1" x14ac:dyDescent="0.35">
      <c r="A28" s="2"/>
      <c r="B28" s="2"/>
      <c r="C28" s="2"/>
      <c r="D28" s="82" t="s">
        <v>28</v>
      </c>
      <c r="E28" s="83"/>
      <c r="F28" s="83"/>
      <c r="G28" s="83"/>
      <c r="H28" s="83"/>
      <c r="I28" s="83"/>
      <c r="J28" s="81" t="s">
        <v>31</v>
      </c>
      <c r="K28" s="27"/>
      <c r="L28" s="84">
        <f>J30+B$6</f>
        <v>101260.22279382401</v>
      </c>
      <c r="M28" s="84"/>
      <c r="N28" s="27"/>
      <c r="O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35">
      <c r="A29" s="2"/>
      <c r="B29" s="2"/>
      <c r="C29" s="2"/>
      <c r="D29" s="36" t="s">
        <v>17</v>
      </c>
      <c r="E29" s="24" t="s">
        <v>18</v>
      </c>
      <c r="F29" s="24" t="s">
        <v>19</v>
      </c>
      <c r="G29" s="24" t="s">
        <v>20</v>
      </c>
      <c r="H29" s="24" t="s">
        <v>21</v>
      </c>
      <c r="I29" s="24" t="s">
        <v>22</v>
      </c>
      <c r="J29" s="81"/>
      <c r="K29" s="27"/>
      <c r="L29" s="85" t="s">
        <v>33</v>
      </c>
      <c r="M29" s="85"/>
      <c r="N29" s="27"/>
      <c r="O29" s="37" t="s">
        <v>34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x14ac:dyDescent="0.35">
      <c r="A30" s="2"/>
      <c r="B30" s="2"/>
      <c r="C30" s="2"/>
      <c r="D30" s="38">
        <f>J$9-B$9</f>
        <v>116837.83</v>
      </c>
      <c r="E30" s="25">
        <f>D30-(E$5*(1-(E27/2)))</f>
        <v>105243.68919999999</v>
      </c>
      <c r="F30" s="25">
        <f>E30-(F$5*(1-(E27))*(1-(F27/2)))</f>
        <v>93667.993623999995</v>
      </c>
      <c r="G30" s="25">
        <f>F30-(G$5*(1-E27)*(1-(F27))*(1-(G27/2)))</f>
        <v>83189.261869599999</v>
      </c>
      <c r="H30" s="25">
        <f>G30-(H$5*(1-E27)*(1-F27)*(1-(G27))*(1-(H27/2)))</f>
        <v>26471.907206175994</v>
      </c>
      <c r="I30" s="25">
        <f>H30-(I$5*(1-E27)*(1-F27)*(1-G27)*(1-(H27))*(1-(I27/2)))</f>
        <v>26471.907206175994</v>
      </c>
      <c r="J30" s="25">
        <f>J$9-I30</f>
        <v>90365.922793824007</v>
      </c>
      <c r="K30" s="28"/>
      <c r="L30" s="86">
        <f>J30/(B$3-B$6)-1</f>
        <v>-7.8357593257152747E-2</v>
      </c>
      <c r="M30" s="86"/>
      <c r="N30" s="28"/>
      <c r="O30" s="39">
        <f>L30/B$21</f>
        <v>-1.9589398314288187E-2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 thickBot="1" x14ac:dyDescent="0.4">
      <c r="A31" s="2"/>
      <c r="B31" s="2"/>
      <c r="C31" s="2"/>
      <c r="D31" s="4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35">
      <c r="A32" s="2"/>
      <c r="B32" s="2"/>
      <c r="C32" s="2"/>
      <c r="D32" s="65" t="s">
        <v>27</v>
      </c>
      <c r="E32" s="66"/>
      <c r="F32" s="66"/>
      <c r="G32" s="66"/>
      <c r="H32" s="66"/>
      <c r="I32" s="66"/>
      <c r="J32" s="29"/>
      <c r="K32" s="26"/>
      <c r="L32" s="67" t="s">
        <v>32</v>
      </c>
      <c r="M32" s="67"/>
      <c r="N32" s="26"/>
      <c r="O32" s="50" t="s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 thickBot="1" x14ac:dyDescent="0.4">
      <c r="A33" s="2"/>
      <c r="B33" s="2"/>
      <c r="C33" s="2"/>
      <c r="D33" s="34" t="s">
        <v>30</v>
      </c>
      <c r="E33" s="20">
        <v>0.08</v>
      </c>
      <c r="F33" s="20">
        <v>0.09</v>
      </c>
      <c r="G33" s="20">
        <v>7.0000000000000007E-2</v>
      </c>
      <c r="H33" s="20">
        <v>0.05</v>
      </c>
      <c r="I33" s="20">
        <v>0.03</v>
      </c>
      <c r="J33" s="30"/>
      <c r="K33" s="27"/>
      <c r="L33" s="68"/>
      <c r="M33" s="68"/>
      <c r="N33" s="27"/>
      <c r="O33" s="51">
        <f>B$3-L34</f>
        <v>4711.0861026119965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x14ac:dyDescent="0.35">
      <c r="A34" s="2"/>
      <c r="B34" s="2"/>
      <c r="C34" s="2"/>
      <c r="D34" s="87" t="s">
        <v>28</v>
      </c>
      <c r="E34" s="88"/>
      <c r="F34" s="88"/>
      <c r="G34" s="88"/>
      <c r="H34" s="88"/>
      <c r="I34" s="88"/>
      <c r="J34" s="68" t="s">
        <v>31</v>
      </c>
      <c r="K34" s="27"/>
      <c r="L34" s="89">
        <f>J36+B$6</f>
        <v>104232.003897388</v>
      </c>
      <c r="M34" s="89"/>
      <c r="N34" s="27"/>
      <c r="O34" s="4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35">
      <c r="A35" s="2"/>
      <c r="B35" s="2"/>
      <c r="C35" s="2"/>
      <c r="D35" s="41" t="s">
        <v>17</v>
      </c>
      <c r="E35" s="32" t="s">
        <v>18</v>
      </c>
      <c r="F35" s="32" t="s">
        <v>19</v>
      </c>
      <c r="G35" s="32" t="s">
        <v>20</v>
      </c>
      <c r="H35" s="32" t="s">
        <v>21</v>
      </c>
      <c r="I35" s="32" t="s">
        <v>22</v>
      </c>
      <c r="J35" s="68"/>
      <c r="K35" s="27"/>
      <c r="L35" s="90" t="s">
        <v>33</v>
      </c>
      <c r="M35" s="90"/>
      <c r="N35" s="27"/>
      <c r="O35" s="42" t="s">
        <v>34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 thickBot="1" x14ac:dyDescent="0.4">
      <c r="A36" s="2"/>
      <c r="B36" s="2"/>
      <c r="C36" s="2"/>
      <c r="D36" s="45">
        <f>J$9-B$9</f>
        <v>116837.83</v>
      </c>
      <c r="E36" s="46">
        <f>D36-(E$5*(1-(E33/2)))</f>
        <v>105243.68919999999</v>
      </c>
      <c r="F36" s="46">
        <f>E36-(F$5*(1-(E33))*(1-(F33/2)))</f>
        <v>93667.993623999995</v>
      </c>
      <c r="G36" s="46">
        <f>F36-(G$5*(1-E33)*(1-(F33))*(1-(G33/2)))</f>
        <v>83023.808210319999</v>
      </c>
      <c r="H36" s="46">
        <f>G36-(H$5*(1-E33)*(1-F33)*(1-(G33))*(1-(H33/2)))</f>
        <v>23500.126102612005</v>
      </c>
      <c r="I36" s="46">
        <f>H36-(I$5*(1-E33)*(1-F33)*(1-G33)*(1-(H33))*(1-(I33/2)))</f>
        <v>23500.126102612005</v>
      </c>
      <c r="J36" s="46">
        <f>J$9-I36</f>
        <v>93337.703897387997</v>
      </c>
      <c r="K36" s="49"/>
      <c r="L36" s="92">
        <f>J36/(B$3-B$6)-1</f>
        <v>-4.8048385937368487E-2</v>
      </c>
      <c r="M36" s="92"/>
      <c r="N36" s="49"/>
      <c r="O36" s="47">
        <f>L36/B$21</f>
        <v>-1.2012096484342122E-2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</sheetData>
  <mergeCells count="43">
    <mergeCell ref="D34:I34"/>
    <mergeCell ref="J34:J35"/>
    <mergeCell ref="L34:M34"/>
    <mergeCell ref="L35:M35"/>
    <mergeCell ref="L36:M36"/>
    <mergeCell ref="D32:I32"/>
    <mergeCell ref="L32:M33"/>
    <mergeCell ref="D22:I22"/>
    <mergeCell ref="J22:J23"/>
    <mergeCell ref="L22:M22"/>
    <mergeCell ref="L23:M23"/>
    <mergeCell ref="L24:M24"/>
    <mergeCell ref="D26:I26"/>
    <mergeCell ref="L26:M27"/>
    <mergeCell ref="D28:I28"/>
    <mergeCell ref="J28:J29"/>
    <mergeCell ref="L28:M28"/>
    <mergeCell ref="L29:M29"/>
    <mergeCell ref="L30:M30"/>
    <mergeCell ref="D20:I20"/>
    <mergeCell ref="L20:M21"/>
    <mergeCell ref="L5:M5"/>
    <mergeCell ref="D7:I7"/>
    <mergeCell ref="J7:J8"/>
    <mergeCell ref="I10:J10"/>
    <mergeCell ref="D13:O13"/>
    <mergeCell ref="D14:I14"/>
    <mergeCell ref="L14:M15"/>
    <mergeCell ref="D16:I16"/>
    <mergeCell ref="J16:J17"/>
    <mergeCell ref="L16:M16"/>
    <mergeCell ref="L17:M17"/>
    <mergeCell ref="L18:M18"/>
    <mergeCell ref="D2:E2"/>
    <mergeCell ref="J2:J4"/>
    <mergeCell ref="L2:M4"/>
    <mergeCell ref="O2:O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4FB3-CCAA-487C-B64C-6CAE1C7E6049}">
  <dimension ref="A1:AO61"/>
  <sheetViews>
    <sheetView workbookViewId="0">
      <selection activeCell="B18" sqref="B18"/>
    </sheetView>
  </sheetViews>
  <sheetFormatPr defaultRowHeight="14.5" x14ac:dyDescent="0.35"/>
  <cols>
    <col min="1" max="1" width="3.1796875" customWidth="1"/>
    <col min="2" max="2" width="17.81640625" customWidth="1"/>
    <col min="3" max="3" width="3.1796875" customWidth="1"/>
    <col min="4" max="9" width="12.7265625" bestFit="1" customWidth="1"/>
    <col min="10" max="10" width="15.90625" customWidth="1"/>
    <col min="11" max="11" width="3.1796875" customWidth="1"/>
    <col min="12" max="12" width="8.6328125" customWidth="1"/>
    <col min="14" max="14" width="3.1796875" customWidth="1"/>
    <col min="15" max="15" width="15.26953125" customWidth="1"/>
    <col min="16" max="16" width="3.1796875" customWidth="1"/>
  </cols>
  <sheetData>
    <row r="1" spans="1:4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x14ac:dyDescent="0.35">
      <c r="A2" s="2"/>
      <c r="B2" s="4" t="s">
        <v>3</v>
      </c>
      <c r="C2" s="2"/>
      <c r="D2" s="52" t="s">
        <v>5</v>
      </c>
      <c r="E2" s="53"/>
      <c r="F2" s="7" t="s">
        <v>8</v>
      </c>
      <c r="G2" s="7" t="s">
        <v>9</v>
      </c>
      <c r="H2" s="7" t="s">
        <v>10</v>
      </c>
      <c r="I2" s="8" t="s">
        <v>11</v>
      </c>
      <c r="J2" s="54" t="s">
        <v>12</v>
      </c>
      <c r="K2" s="2"/>
      <c r="L2" s="56" t="s">
        <v>13</v>
      </c>
      <c r="M2" s="57"/>
      <c r="N2" s="2"/>
      <c r="O2" s="60" t="s">
        <v>15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x14ac:dyDescent="0.35">
      <c r="A3" s="2"/>
      <c r="B3" s="1">
        <v>120000</v>
      </c>
      <c r="C3" s="2"/>
      <c r="D3" s="62" t="s">
        <v>6</v>
      </c>
      <c r="E3" s="63" t="s">
        <v>7</v>
      </c>
      <c r="F3" s="63" t="s">
        <v>7</v>
      </c>
      <c r="G3" s="63" t="s">
        <v>7</v>
      </c>
      <c r="H3" s="63" t="s">
        <v>7</v>
      </c>
      <c r="I3" s="64" t="s">
        <v>7</v>
      </c>
      <c r="J3" s="55"/>
      <c r="K3" s="2"/>
      <c r="L3" s="58"/>
      <c r="M3" s="59"/>
      <c r="N3" s="2"/>
      <c r="O3" s="6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x14ac:dyDescent="0.35">
      <c r="A4" s="2"/>
      <c r="B4" s="2"/>
      <c r="C4" s="2"/>
      <c r="D4" s="62"/>
      <c r="E4" s="63"/>
      <c r="F4" s="63"/>
      <c r="G4" s="63"/>
      <c r="H4" s="63"/>
      <c r="I4" s="64"/>
      <c r="J4" s="55"/>
      <c r="K4" s="2"/>
      <c r="L4" s="58"/>
      <c r="M4" s="59"/>
      <c r="N4" s="2"/>
      <c r="O4" s="6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x14ac:dyDescent="0.35">
      <c r="A5" s="2"/>
      <c r="B5" s="4" t="s">
        <v>4</v>
      </c>
      <c r="C5" s="2"/>
      <c r="D5" s="9">
        <f>B6+B9</f>
        <v>13000</v>
      </c>
      <c r="E5" s="10">
        <f>11*(B12+B15)</f>
        <v>23760</v>
      </c>
      <c r="F5" s="10">
        <f>12*(B12+B15)</f>
        <v>25920</v>
      </c>
      <c r="G5" s="10">
        <f>IF(B18&gt;2,12*(B12+B15),0)</f>
        <v>25920</v>
      </c>
      <c r="H5" s="10">
        <f>IF(B18&gt;3,12*(B12+B15),0)</f>
        <v>25920</v>
      </c>
      <c r="I5" s="11">
        <f>IF(B18&gt;4,12*(B12+B15),0)</f>
        <v>25920</v>
      </c>
      <c r="J5" s="5">
        <f>SUM(D5:I5)</f>
        <v>140440</v>
      </c>
      <c r="K5" s="2"/>
      <c r="L5" s="69">
        <f>(J5-B6)/(B3-B6)</f>
        <v>1.1892592592592592</v>
      </c>
      <c r="M5" s="70"/>
      <c r="N5" s="2"/>
      <c r="O5" s="17">
        <f>(L5-1)/B18</f>
        <v>3.7851851851851845E-2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 x14ac:dyDescent="0.35">
      <c r="A6" s="2"/>
      <c r="B6" s="1">
        <v>12000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35">
      <c r="A7" s="2"/>
      <c r="B7" s="2"/>
      <c r="C7" s="2"/>
      <c r="D7" s="71" t="s">
        <v>16</v>
      </c>
      <c r="E7" s="72"/>
      <c r="F7" s="72"/>
      <c r="G7" s="72"/>
      <c r="H7" s="72"/>
      <c r="I7" s="73"/>
      <c r="J7" s="74" t="s">
        <v>36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 x14ac:dyDescent="0.35">
      <c r="A8" s="2"/>
      <c r="B8" s="4" t="s">
        <v>1</v>
      </c>
      <c r="C8" s="2"/>
      <c r="D8" s="12" t="s">
        <v>17</v>
      </c>
      <c r="E8" s="13" t="s">
        <v>18</v>
      </c>
      <c r="F8" s="13" t="s">
        <v>19</v>
      </c>
      <c r="G8" s="13" t="s">
        <v>20</v>
      </c>
      <c r="H8" s="13" t="s">
        <v>21</v>
      </c>
      <c r="I8" s="14" t="s">
        <v>22</v>
      </c>
      <c r="J8" s="7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 ht="15" thickBot="1" x14ac:dyDescent="0.4">
      <c r="A9" s="2"/>
      <c r="B9" s="1">
        <v>1000</v>
      </c>
      <c r="C9" s="2"/>
      <c r="D9" s="15">
        <f>B3-B6</f>
        <v>108000</v>
      </c>
      <c r="E9" s="16">
        <f>D9+D9*O5</f>
        <v>112088</v>
      </c>
      <c r="F9" s="16">
        <f>E9+$D$9*$O$5</f>
        <v>116176</v>
      </c>
      <c r="G9" s="16">
        <f>F9+$D$9*$O$5</f>
        <v>120264</v>
      </c>
      <c r="H9" s="16">
        <f>G9+$D$9*$O$5</f>
        <v>124352</v>
      </c>
      <c r="I9" s="18">
        <f>H9+$D$9*$O$5</f>
        <v>128440</v>
      </c>
      <c r="J9" s="6">
        <f>J5-B6</f>
        <v>128440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ht="15" thickTop="1" x14ac:dyDescent="0.35">
      <c r="A10" s="2"/>
      <c r="B10" s="2"/>
      <c r="C10" s="2"/>
      <c r="D10" s="2"/>
      <c r="E10" s="2"/>
      <c r="F10" s="2"/>
      <c r="G10" s="2"/>
      <c r="H10" s="2"/>
      <c r="I10" s="76" t="s">
        <v>23</v>
      </c>
      <c r="J10" s="7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35">
      <c r="A11" s="2"/>
      <c r="B11" s="4" t="s">
        <v>2</v>
      </c>
      <c r="C11" s="2"/>
      <c r="D11" s="2"/>
      <c r="E11" s="2"/>
      <c r="F11" s="2"/>
      <c r="G11" s="2"/>
      <c r="H11" s="2"/>
      <c r="I11" s="3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5" thickBot="1" x14ac:dyDescent="0.4">
      <c r="A12" s="2"/>
      <c r="B12" s="1">
        <v>2100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ht="16" thickBot="1" x14ac:dyDescent="0.4">
      <c r="A13" s="2"/>
      <c r="B13" s="2"/>
      <c r="C13" s="2"/>
      <c r="D13" s="77" t="s">
        <v>29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x14ac:dyDescent="0.35">
      <c r="A14" s="2"/>
      <c r="B14" s="4" t="s">
        <v>37</v>
      </c>
      <c r="C14" s="2"/>
      <c r="D14" s="65" t="s">
        <v>25</v>
      </c>
      <c r="E14" s="66"/>
      <c r="F14" s="66"/>
      <c r="G14" s="66"/>
      <c r="H14" s="66"/>
      <c r="I14" s="66"/>
      <c r="J14" s="19"/>
      <c r="K14" s="26"/>
      <c r="L14" s="80" t="s">
        <v>32</v>
      </c>
      <c r="M14" s="80"/>
      <c r="N14" s="26"/>
      <c r="O14" s="50" t="s">
        <v>35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ht="14.5" customHeight="1" thickBot="1" x14ac:dyDescent="0.4">
      <c r="A15" s="2"/>
      <c r="B15" s="1">
        <v>60</v>
      </c>
      <c r="C15" s="2"/>
      <c r="D15" s="34" t="s">
        <v>30</v>
      </c>
      <c r="E15" s="20">
        <v>0.06</v>
      </c>
      <c r="F15" s="20">
        <v>0.04</v>
      </c>
      <c r="G15" s="20">
        <v>0.03</v>
      </c>
      <c r="H15" s="20">
        <v>0.02</v>
      </c>
      <c r="I15" s="20">
        <v>0.02</v>
      </c>
      <c r="J15" s="21"/>
      <c r="K15" s="27"/>
      <c r="L15" s="81"/>
      <c r="M15" s="81"/>
      <c r="N15" s="27"/>
      <c r="O15" s="51">
        <f>B$3-L16</f>
        <v>-7438.0600299520011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4.5" customHeight="1" x14ac:dyDescent="0.35">
      <c r="A16" s="2"/>
      <c r="B16" s="2"/>
      <c r="C16" s="2"/>
      <c r="D16" s="82" t="s">
        <v>28</v>
      </c>
      <c r="E16" s="83"/>
      <c r="F16" s="83"/>
      <c r="G16" s="83"/>
      <c r="H16" s="83"/>
      <c r="I16" s="83"/>
      <c r="J16" s="81" t="s">
        <v>31</v>
      </c>
      <c r="K16" s="27"/>
      <c r="L16" s="84">
        <f>J18+B6</f>
        <v>127438.060029952</v>
      </c>
      <c r="M16" s="84"/>
      <c r="N16" s="27"/>
      <c r="O16" s="4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x14ac:dyDescent="0.35">
      <c r="A17" s="2"/>
      <c r="B17" s="4" t="s">
        <v>14</v>
      </c>
      <c r="C17" s="2"/>
      <c r="D17" s="36" t="s">
        <v>17</v>
      </c>
      <c r="E17" s="23" t="s">
        <v>18</v>
      </c>
      <c r="F17" s="23" t="s">
        <v>19</v>
      </c>
      <c r="G17" s="23" t="s">
        <v>20</v>
      </c>
      <c r="H17" s="23" t="s">
        <v>21</v>
      </c>
      <c r="I17" s="23" t="s">
        <v>22</v>
      </c>
      <c r="J17" s="81"/>
      <c r="K17" s="27"/>
      <c r="L17" s="85" t="s">
        <v>33</v>
      </c>
      <c r="M17" s="85"/>
      <c r="N17" s="27"/>
      <c r="O17" s="37" t="s">
        <v>34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35">
      <c r="A18" s="2"/>
      <c r="B18">
        <v>5</v>
      </c>
      <c r="C18" s="2"/>
      <c r="D18" s="38">
        <f>J9-B9</f>
        <v>127440</v>
      </c>
      <c r="E18" s="25">
        <f>D18-(E5*(1-(E15/2)))</f>
        <v>104392.8</v>
      </c>
      <c r="F18" s="25">
        <f>E18-(F5*(1-(E15))*(1-(F15/2)))</f>
        <v>80515.296000000002</v>
      </c>
      <c r="G18" s="25">
        <f>F18-(G5*(1-E15)*(1-(F15))*(1-(G15/2)))</f>
        <v>57475.941120000003</v>
      </c>
      <c r="H18" s="25">
        <f>G18-(H5*(1-E15)*(1-F15)*(1-(G15))*(1-(H15/2)))</f>
        <v>35014.324377600002</v>
      </c>
      <c r="I18" s="25">
        <f>H18-(I5*(1-E15)*(1-F15)*(1-G15)*(1-(H15))*(1-(I15/2)))</f>
        <v>13001.939970048003</v>
      </c>
      <c r="J18" s="25">
        <f>J9-I18</f>
        <v>115438.060029952</v>
      </c>
      <c r="K18" s="28"/>
      <c r="L18" s="86">
        <f>J18/(B3-B6)-1</f>
        <v>6.8870926203259186E-2</v>
      </c>
      <c r="M18" s="86"/>
      <c r="N18" s="28"/>
      <c r="O18" s="39">
        <f>L18/B18</f>
        <v>1.3774185240651837E-2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ht="15" thickBot="1" x14ac:dyDescent="0.4">
      <c r="A19" s="2"/>
      <c r="B19" s="2"/>
      <c r="C19" s="2"/>
      <c r="D19" s="4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35">
      <c r="A20" s="2"/>
      <c r="B20" s="2"/>
      <c r="C20" s="2"/>
      <c r="D20" s="65" t="s">
        <v>24</v>
      </c>
      <c r="E20" s="66"/>
      <c r="F20" s="66"/>
      <c r="G20" s="66"/>
      <c r="H20" s="66"/>
      <c r="I20" s="66"/>
      <c r="J20" s="29"/>
      <c r="K20" s="26"/>
      <c r="L20" s="67" t="s">
        <v>32</v>
      </c>
      <c r="M20" s="67"/>
      <c r="N20" s="26"/>
      <c r="O20" s="50" t="s">
        <v>35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 ht="15" thickBot="1" x14ac:dyDescent="0.4">
      <c r="A21" s="2"/>
      <c r="B21" s="2"/>
      <c r="C21" s="2"/>
      <c r="D21" s="34" t="s">
        <v>30</v>
      </c>
      <c r="E21" s="20">
        <v>7.0000000000000007E-2</v>
      </c>
      <c r="F21" s="20">
        <v>0.06</v>
      </c>
      <c r="G21" s="20">
        <v>0.06</v>
      </c>
      <c r="H21" s="20">
        <v>0.05</v>
      </c>
      <c r="I21" s="20">
        <v>0.05</v>
      </c>
      <c r="J21" s="30"/>
      <c r="K21" s="27"/>
      <c r="L21" s="68"/>
      <c r="M21" s="68"/>
      <c r="N21" s="27"/>
      <c r="O21" s="51">
        <f>B$3-L22</f>
        <v>-1786.3882191999874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 x14ac:dyDescent="0.35">
      <c r="A22" s="2"/>
      <c r="B22" s="2"/>
      <c r="C22" s="2"/>
      <c r="D22" s="87" t="s">
        <v>28</v>
      </c>
      <c r="E22" s="88"/>
      <c r="F22" s="88"/>
      <c r="G22" s="88"/>
      <c r="H22" s="88"/>
      <c r="I22" s="88"/>
      <c r="J22" s="68" t="s">
        <v>31</v>
      </c>
      <c r="K22" s="27"/>
      <c r="L22" s="89">
        <f>J24+B$6</f>
        <v>121786.38821919999</v>
      </c>
      <c r="M22" s="89"/>
      <c r="N22" s="27"/>
      <c r="O22" s="4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35">
      <c r="A23" s="2"/>
      <c r="B23" s="2"/>
      <c r="C23" s="2"/>
      <c r="D23" s="41" t="s">
        <v>17</v>
      </c>
      <c r="E23" s="31" t="s">
        <v>18</v>
      </c>
      <c r="F23" s="31" t="s">
        <v>19</v>
      </c>
      <c r="G23" s="31" t="s">
        <v>20</v>
      </c>
      <c r="H23" s="31" t="s">
        <v>21</v>
      </c>
      <c r="I23" s="31" t="s">
        <v>22</v>
      </c>
      <c r="J23" s="68"/>
      <c r="K23" s="27"/>
      <c r="L23" s="90" t="s">
        <v>33</v>
      </c>
      <c r="M23" s="90"/>
      <c r="N23" s="27"/>
      <c r="O23" s="42" t="s">
        <v>34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 x14ac:dyDescent="0.35">
      <c r="A24" s="2"/>
      <c r="B24" s="2"/>
      <c r="C24" s="2"/>
      <c r="D24" s="43">
        <f>J$9-B$9</f>
        <v>127440</v>
      </c>
      <c r="E24" s="33">
        <f>D24-(E$5*(1-(E21/2)))</f>
        <v>104511.6</v>
      </c>
      <c r="F24" s="33">
        <f>E24-(F$5*(1-(E21))*(1-(F21/2)))</f>
        <v>81129.168000000005</v>
      </c>
      <c r="G24" s="33">
        <f>F24-(G$5*(1-E21)*(1-(F21))*(1-(G21/2)))</f>
        <v>59149.68192000001</v>
      </c>
      <c r="H24" s="33">
        <f>G24-(H$5*(1-E21)*(1-F21)*(1-(G21))*(1-(H21/2)))</f>
        <v>38382.466464000012</v>
      </c>
      <c r="I24" s="33">
        <f>H24-(I$5*(1-E21)*(1-F21)*(1-G21)*(1-(H21))*(1-(I21/2)))</f>
        <v>18653.611780800016</v>
      </c>
      <c r="J24" s="33">
        <f>J$9-I24</f>
        <v>109786.38821919999</v>
      </c>
      <c r="K24" s="28"/>
      <c r="L24" s="91">
        <f>J24/(B$3-B$6)-1</f>
        <v>1.654063165925912E-2</v>
      </c>
      <c r="M24" s="91"/>
      <c r="N24" s="28"/>
      <c r="O24" s="44">
        <f>L24/B$18</f>
        <v>3.308126331851824E-3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ht="15" thickBot="1" x14ac:dyDescent="0.4">
      <c r="A25" s="2"/>
      <c r="B25" s="2"/>
      <c r="C25" s="2"/>
      <c r="D25" s="4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3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4.5" customHeight="1" x14ac:dyDescent="0.35">
      <c r="A26" s="2"/>
      <c r="B26" s="2"/>
      <c r="C26" s="2"/>
      <c r="D26" s="65" t="s">
        <v>26</v>
      </c>
      <c r="E26" s="66"/>
      <c r="F26" s="66"/>
      <c r="G26" s="66"/>
      <c r="H26" s="66"/>
      <c r="I26" s="66"/>
      <c r="J26" s="19"/>
      <c r="K26" s="26"/>
      <c r="L26" s="80" t="s">
        <v>32</v>
      </c>
      <c r="M26" s="80"/>
      <c r="N26" s="26"/>
      <c r="O26" s="50" t="s">
        <v>35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ht="15" thickBot="1" x14ac:dyDescent="0.4">
      <c r="A27" s="2"/>
      <c r="B27" s="2"/>
      <c r="C27" s="2"/>
      <c r="D27" s="34" t="s">
        <v>30</v>
      </c>
      <c r="E27" s="20">
        <v>0.08</v>
      </c>
      <c r="F27" s="20">
        <v>0.09</v>
      </c>
      <c r="G27" s="20">
        <v>0.1</v>
      </c>
      <c r="H27" s="20">
        <v>0.08</v>
      </c>
      <c r="I27" s="20">
        <v>0.06</v>
      </c>
      <c r="J27" s="21"/>
      <c r="K27" s="27"/>
      <c r="L27" s="81"/>
      <c r="M27" s="81"/>
      <c r="N27" s="27"/>
      <c r="O27" s="51">
        <f>B$3-L28</f>
        <v>4624.1297561599786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4.5" customHeight="1" x14ac:dyDescent="0.35">
      <c r="A28" s="2"/>
      <c r="B28" s="2"/>
      <c r="C28" s="2"/>
      <c r="D28" s="82" t="s">
        <v>28</v>
      </c>
      <c r="E28" s="83"/>
      <c r="F28" s="83"/>
      <c r="G28" s="83"/>
      <c r="H28" s="83"/>
      <c r="I28" s="83"/>
      <c r="J28" s="81" t="s">
        <v>31</v>
      </c>
      <c r="K28" s="27"/>
      <c r="L28" s="84">
        <f>J30+B$6</f>
        <v>115375.87024384002</v>
      </c>
      <c r="M28" s="84"/>
      <c r="N28" s="27"/>
      <c r="O28" s="4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35">
      <c r="A29" s="2"/>
      <c r="B29" s="2"/>
      <c r="C29" s="2"/>
      <c r="D29" s="36" t="s">
        <v>17</v>
      </c>
      <c r="E29" s="23" t="s">
        <v>18</v>
      </c>
      <c r="F29" s="23" t="s">
        <v>19</v>
      </c>
      <c r="G29" s="23" t="s">
        <v>20</v>
      </c>
      <c r="H29" s="23" t="s">
        <v>21</v>
      </c>
      <c r="I29" s="23" t="s">
        <v>22</v>
      </c>
      <c r="J29" s="81"/>
      <c r="K29" s="27"/>
      <c r="L29" s="85" t="s">
        <v>33</v>
      </c>
      <c r="M29" s="85"/>
      <c r="N29" s="27"/>
      <c r="O29" s="37" t="s">
        <v>34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x14ac:dyDescent="0.35">
      <c r="A30" s="2"/>
      <c r="B30" s="2"/>
      <c r="C30" s="2"/>
      <c r="D30" s="38">
        <f>J$9-B$9</f>
        <v>127440</v>
      </c>
      <c r="E30" s="25">
        <f>D30-(E$5*(1-(E27/2)))</f>
        <v>104630.39999999999</v>
      </c>
      <c r="F30" s="25">
        <f>E30-(F$5*(1-(E27))*(1-(F27/2)))</f>
        <v>81857.087999999989</v>
      </c>
      <c r="G30" s="25">
        <f>F30-(G$5*(1-E27)*(1-(F27))*(1-(G27/2)))</f>
        <v>61241.875199999988</v>
      </c>
      <c r="H30" s="25">
        <f>G30-(H$5*(1-E27)*(1-F27)*(1-(G27))*(1-(H27/2)))</f>
        <v>42492.881663999986</v>
      </c>
      <c r="I30" s="25">
        <f>H30-(I$5*(1-E27)*(1-F27)*(1-G27)*(1-(H27))*(1-(I27/2)))</f>
        <v>25064.129756159982</v>
      </c>
      <c r="J30" s="25">
        <f>J$9-I30</f>
        <v>103375.87024384002</v>
      </c>
      <c r="K30" s="28"/>
      <c r="L30" s="86">
        <f>J30/(B$3-B$6)-1</f>
        <v>-4.2816016260740497E-2</v>
      </c>
      <c r="M30" s="86"/>
      <c r="N30" s="28"/>
      <c r="O30" s="39">
        <f>L30/B$18</f>
        <v>-8.5632032521480994E-3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5" thickBot="1" x14ac:dyDescent="0.4">
      <c r="A31" s="2"/>
      <c r="B31" s="2"/>
      <c r="C31" s="2"/>
      <c r="D31" s="40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3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35">
      <c r="A32" s="2"/>
      <c r="B32" s="2"/>
      <c r="C32" s="2"/>
      <c r="D32" s="65" t="s">
        <v>27</v>
      </c>
      <c r="E32" s="66"/>
      <c r="F32" s="66"/>
      <c r="G32" s="66"/>
      <c r="H32" s="66"/>
      <c r="I32" s="66"/>
      <c r="J32" s="29"/>
      <c r="K32" s="26"/>
      <c r="L32" s="67" t="s">
        <v>32</v>
      </c>
      <c r="M32" s="67"/>
      <c r="N32" s="26"/>
      <c r="O32" s="50" t="s">
        <v>35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5" thickBot="1" x14ac:dyDescent="0.4">
      <c r="A33" s="2"/>
      <c r="B33" s="2"/>
      <c r="C33" s="2"/>
      <c r="D33" s="34" t="s">
        <v>30</v>
      </c>
      <c r="E33" s="20">
        <v>0.08</v>
      </c>
      <c r="F33" s="20">
        <v>0.09</v>
      </c>
      <c r="G33" s="20">
        <v>7.0000000000000007E-2</v>
      </c>
      <c r="H33" s="20">
        <v>0.05</v>
      </c>
      <c r="I33" s="20">
        <v>0.03</v>
      </c>
      <c r="J33" s="30"/>
      <c r="K33" s="27"/>
      <c r="L33" s="68"/>
      <c r="M33" s="68"/>
      <c r="N33" s="27"/>
      <c r="O33" s="51">
        <f>B$3-L34</f>
        <v>1915.1280425599834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x14ac:dyDescent="0.35">
      <c r="A34" s="2"/>
      <c r="B34" s="2"/>
      <c r="C34" s="2"/>
      <c r="D34" s="87" t="s">
        <v>28</v>
      </c>
      <c r="E34" s="88"/>
      <c r="F34" s="88"/>
      <c r="G34" s="88"/>
      <c r="H34" s="88"/>
      <c r="I34" s="88"/>
      <c r="J34" s="68" t="s">
        <v>31</v>
      </c>
      <c r="K34" s="27"/>
      <c r="L34" s="89">
        <f>J36+B$6</f>
        <v>118084.87195744002</v>
      </c>
      <c r="M34" s="89"/>
      <c r="N34" s="27"/>
      <c r="O34" s="4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x14ac:dyDescent="0.35">
      <c r="A35" s="2"/>
      <c r="B35" s="2"/>
      <c r="C35" s="2"/>
      <c r="D35" s="41" t="s">
        <v>17</v>
      </c>
      <c r="E35" s="31" t="s">
        <v>18</v>
      </c>
      <c r="F35" s="31" t="s">
        <v>19</v>
      </c>
      <c r="G35" s="31" t="s">
        <v>20</v>
      </c>
      <c r="H35" s="31" t="s">
        <v>21</v>
      </c>
      <c r="I35" s="31" t="s">
        <v>22</v>
      </c>
      <c r="J35" s="68"/>
      <c r="K35" s="27"/>
      <c r="L35" s="90" t="s">
        <v>33</v>
      </c>
      <c r="M35" s="90"/>
      <c r="N35" s="27"/>
      <c r="O35" s="42" t="s">
        <v>34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5" thickBot="1" x14ac:dyDescent="0.4">
      <c r="A36" s="2"/>
      <c r="B36" s="2"/>
      <c r="C36" s="2"/>
      <c r="D36" s="45">
        <f>J$9-B$9</f>
        <v>127440</v>
      </c>
      <c r="E36" s="46">
        <f>D36-(E$5*(1-(E33/2)))</f>
        <v>104630.39999999999</v>
      </c>
      <c r="F36" s="46">
        <f>E36-(F$5*(1-(E33))*(1-(F33/2)))</f>
        <v>81857.087999999989</v>
      </c>
      <c r="G36" s="46">
        <f>F36-(G$5*(1-E33)*(1-(F33))*(1-(G33/2)))</f>
        <v>60916.371839999993</v>
      </c>
      <c r="H36" s="46">
        <f>G36-(H$5*(1-E33)*(1-F33)*(1-(G33))*(1-(H33/2)))</f>
        <v>41239.693727999991</v>
      </c>
      <c r="I36" s="46">
        <f>H36-(I$5*(1-E33)*(1-F33)*(1-G33)*(1-(H33))*(1-(I33/2)))</f>
        <v>22355.128042559991</v>
      </c>
      <c r="J36" s="46">
        <f>J$9-I36</f>
        <v>106084.87195744002</v>
      </c>
      <c r="K36" s="49"/>
      <c r="L36" s="92">
        <f>J36/(B$3-B$6)-1</f>
        <v>-1.7732667060740614E-2</v>
      </c>
      <c r="M36" s="92"/>
      <c r="N36" s="49"/>
      <c r="O36" s="47">
        <f>L36/B$18</f>
        <v>-3.5465334121481231E-3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</sheetData>
  <mergeCells count="43">
    <mergeCell ref="H3:H4"/>
    <mergeCell ref="D2:E2"/>
    <mergeCell ref="D3:D4"/>
    <mergeCell ref="E3:E4"/>
    <mergeCell ref="F3:F4"/>
    <mergeCell ref="G3:G4"/>
    <mergeCell ref="I3:I4"/>
    <mergeCell ref="J2:J4"/>
    <mergeCell ref="L2:M4"/>
    <mergeCell ref="L5:M5"/>
    <mergeCell ref="O2:O4"/>
    <mergeCell ref="D22:I22"/>
    <mergeCell ref="D14:I14"/>
    <mergeCell ref="D7:I7"/>
    <mergeCell ref="J7:J8"/>
    <mergeCell ref="I10:J10"/>
    <mergeCell ref="L14:M15"/>
    <mergeCell ref="L17:M17"/>
    <mergeCell ref="L18:M18"/>
    <mergeCell ref="D20:I20"/>
    <mergeCell ref="D16:I16"/>
    <mergeCell ref="J16:J17"/>
    <mergeCell ref="L22:M22"/>
    <mergeCell ref="L23:M23"/>
    <mergeCell ref="L24:M24"/>
    <mergeCell ref="L20:M21"/>
    <mergeCell ref="L16:M16"/>
    <mergeCell ref="L36:M36"/>
    <mergeCell ref="L32:M33"/>
    <mergeCell ref="D13:O13"/>
    <mergeCell ref="L30:M30"/>
    <mergeCell ref="D32:I32"/>
    <mergeCell ref="D34:I34"/>
    <mergeCell ref="J34:J35"/>
    <mergeCell ref="L34:M34"/>
    <mergeCell ref="L35:M35"/>
    <mergeCell ref="D28:I28"/>
    <mergeCell ref="J28:J29"/>
    <mergeCell ref="D26:I26"/>
    <mergeCell ref="L26:M27"/>
    <mergeCell ref="L28:M28"/>
    <mergeCell ref="L29:M29"/>
    <mergeCell ref="J22:J23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Leasing</vt:lpstr>
      <vt:lpstr>Pożyczka leasingowa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Staszewski</dc:creator>
  <cp:lastModifiedBy>Stasz</cp:lastModifiedBy>
  <dcterms:created xsi:type="dcterms:W3CDTF">2021-11-20T08:24:20Z</dcterms:created>
  <dcterms:modified xsi:type="dcterms:W3CDTF">2022-05-06T08:04:24Z</dcterms:modified>
</cp:coreProperties>
</file>